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1075" windowHeight="130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<sst xmlns="http://schemas.openxmlformats.org/spreadsheetml/2006/main" count="69" uniqueCount="55">
  <si>
    <t>Credit Facility</t>
  </si>
  <si>
    <t>2012 - Q1</t>
  </si>
  <si>
    <t>2012 - Q2</t>
  </si>
  <si>
    <t>2012 - Q3</t>
  </si>
  <si>
    <t>2012 - Q4</t>
  </si>
  <si>
    <t>2013 - Q1</t>
  </si>
  <si>
    <t>2013 - Q2</t>
  </si>
  <si>
    <t>2013 - Q3</t>
  </si>
  <si>
    <t>2013 - Q4</t>
  </si>
  <si>
    <t>2014 - Q1</t>
  </si>
  <si>
    <t>2014 - Q2</t>
  </si>
  <si>
    <t>2014 - Q3</t>
  </si>
  <si>
    <t>2014 - Q4</t>
  </si>
  <si>
    <t>Tax installments</t>
  </si>
  <si>
    <t>Medium Term Notes</t>
  </si>
  <si>
    <t>A</t>
  </si>
  <si>
    <t>Gross operating profit</t>
  </si>
  <si>
    <t>Interest expense</t>
  </si>
  <si>
    <t>Income taxes</t>
  </si>
  <si>
    <t>Dividends</t>
  </si>
  <si>
    <t>2011 - Q4</t>
  </si>
  <si>
    <t>Total payouts</t>
  </si>
  <si>
    <t>Debt</t>
  </si>
  <si>
    <t>Accumulated flow</t>
  </si>
  <si>
    <t>series</t>
  </si>
  <si>
    <t>Commercial paper</t>
  </si>
  <si>
    <t>Dec 2013 - 6.85%</t>
  </si>
  <si>
    <t>July 2013 - 6.50%</t>
  </si>
  <si>
    <t>Apr 2014 - 5.71%</t>
  </si>
  <si>
    <t>Feb 2015 - 7.30%</t>
  </si>
  <si>
    <t>Feb 2016 - 5.25%</t>
  </si>
  <si>
    <t>Nov 2019 - 5.85%</t>
  </si>
  <si>
    <t>Mar 2020 - 7.75%</t>
  </si>
  <si>
    <t>Feb 2036 - 6.25%</t>
  </si>
  <si>
    <t>Debentures  2017- 6.25%</t>
  </si>
  <si>
    <t>Cash on hand - opening</t>
  </si>
  <si>
    <t xml:space="preserve">Debt    </t>
  </si>
  <si>
    <t>Preferred shares</t>
  </si>
  <si>
    <t xml:space="preserve"> </t>
  </si>
  <si>
    <t>Annual</t>
  </si>
  <si>
    <t>Yello Media</t>
  </si>
  <si>
    <t xml:space="preserve">Taxes </t>
  </si>
  <si>
    <t>B</t>
  </si>
  <si>
    <t>C</t>
  </si>
  <si>
    <t>D</t>
  </si>
  <si>
    <t>(B - C)</t>
  </si>
  <si>
    <t>Excess cash for period</t>
  </si>
  <si>
    <t>(A - B)</t>
  </si>
  <si>
    <t>E</t>
  </si>
  <si>
    <t>Later</t>
  </si>
  <si>
    <t>Cash flow</t>
  </si>
  <si>
    <t>CASH PAYOUTS</t>
  </si>
  <si>
    <t xml:space="preserve">(The accumulated flow is the sum of the periods to date, displaying the available cash to meet critical debt payments.  </t>
  </si>
  <si>
    <t>Interest</t>
  </si>
  <si>
    <t xml:space="preserve">Annual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</si>
</sst>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"/>
    <numFmt numFmtId="173" formatCode="0.0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2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0" fontId="0" fillId="0" borderId="0" xfId="0" applyBorder="1" applyAlignment="1">
      <alignment/>
    </xf>
    <xf numFmtId="172" fontId="0" fillId="0" borderId="0" xfId="0" applyNumberFormat="1" applyAlignment="1">
      <alignment/>
    </xf>
    <xf numFmtId="0" fontId="0" fillId="0" borderId="0" xfId="0" applyAlignment="1">
      <alignment horizontal="center"/>
    </xf>
    <xf numFmtId="172" fontId="0" fillId="0" borderId="10" xfId="0" applyNumberFormat="1" applyBorder="1" applyAlignment="1">
      <alignment/>
    </xf>
    <xf numFmtId="17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1" fontId="0" fillId="0" borderId="0" xfId="0" applyNumberFormat="1" applyFill="1" applyAlignment="1">
      <alignment horizontal="right"/>
    </xf>
    <xf numFmtId="1" fontId="0" fillId="0" borderId="0" xfId="0" applyNumberFormat="1" applyAlignment="1">
      <alignment/>
    </xf>
    <xf numFmtId="172" fontId="0" fillId="0" borderId="0" xfId="0" applyNumberFormat="1" applyFill="1" applyAlignment="1">
      <alignment horizontal="right"/>
    </xf>
    <xf numFmtId="173" fontId="0" fillId="0" borderId="0" xfId="0" applyNumberFormat="1" applyFill="1" applyAlignment="1">
      <alignment horizontal="right"/>
    </xf>
    <xf numFmtId="173" fontId="0" fillId="0" borderId="11" xfId="0" applyNumberFormat="1" applyFill="1" applyBorder="1" applyAlignment="1">
      <alignment horizontal="right"/>
    </xf>
    <xf numFmtId="173" fontId="0" fillId="0" borderId="0" xfId="0" applyNumberFormat="1" applyAlignment="1">
      <alignment/>
    </xf>
    <xf numFmtId="173" fontId="2" fillId="0" borderId="12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72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2" fillId="33" borderId="0" xfId="0" applyFont="1" applyFill="1" applyAlignment="1">
      <alignment horizontal="right"/>
    </xf>
    <xf numFmtId="0" fontId="2" fillId="34" borderId="0" xfId="0" applyFont="1" applyFill="1" applyAlignment="1">
      <alignment horizontal="right"/>
    </xf>
    <xf numFmtId="0" fontId="2" fillId="35" borderId="0" xfId="0" applyFont="1" applyFill="1" applyAlignment="1">
      <alignment horizontal="right"/>
    </xf>
    <xf numFmtId="0" fontId="2" fillId="36" borderId="0" xfId="0" applyFont="1" applyFill="1" applyAlignment="1">
      <alignment horizontal="right"/>
    </xf>
    <xf numFmtId="172" fontId="2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173" fontId="2" fillId="0" borderId="0" xfId="0" applyNumberFormat="1" applyFont="1" applyFill="1" applyAlignment="1">
      <alignment horizontal="right"/>
    </xf>
    <xf numFmtId="1" fontId="2" fillId="0" borderId="0" xfId="0" applyNumberFormat="1" applyFont="1" applyFill="1" applyAlignment="1">
      <alignment horizontal="right"/>
    </xf>
    <xf numFmtId="172" fontId="2" fillId="0" borderId="0" xfId="0" applyNumberFormat="1" applyFont="1" applyFill="1" applyAlignment="1">
      <alignment horizontal="right"/>
    </xf>
    <xf numFmtId="173" fontId="2" fillId="0" borderId="13" xfId="0" applyNumberFormat="1" applyFont="1" applyFill="1" applyBorder="1" applyAlignment="1">
      <alignment horizontal="right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173" fontId="2" fillId="0" borderId="10" xfId="0" applyNumberFormat="1" applyFont="1" applyFill="1" applyBorder="1" applyAlignment="1">
      <alignment horizontal="right"/>
    </xf>
    <xf numFmtId="173" fontId="2" fillId="0" borderId="10" xfId="0" applyNumberFormat="1" applyFont="1" applyBorder="1" applyAlignment="1">
      <alignment/>
    </xf>
    <xf numFmtId="0" fontId="2" fillId="0" borderId="0" xfId="0" applyFont="1" applyBorder="1" applyAlignment="1">
      <alignment/>
    </xf>
    <xf numFmtId="1" fontId="2" fillId="0" borderId="10" xfId="0" applyNumberFormat="1" applyFont="1" applyBorder="1" applyAlignment="1">
      <alignment/>
    </xf>
    <xf numFmtId="173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73" fontId="2" fillId="0" borderId="0" xfId="0" applyNumberFormat="1" applyFont="1" applyFill="1" applyBorder="1" applyAlignment="1">
      <alignment horizontal="right"/>
    </xf>
    <xf numFmtId="172" fontId="3" fillId="0" borderId="0" xfId="0" applyNumberFormat="1" applyFont="1" applyAlignment="1">
      <alignment horizontal="right"/>
    </xf>
    <xf numFmtId="1" fontId="3" fillId="0" borderId="0" xfId="0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3"/>
  <sheetViews>
    <sheetView tabSelected="1" zoomScalePageLayoutView="0" workbookViewId="0" topLeftCell="A6">
      <selection activeCell="F34" sqref="F34"/>
    </sheetView>
  </sheetViews>
  <sheetFormatPr defaultColWidth="9.140625" defaultRowHeight="12.75"/>
  <cols>
    <col min="1" max="1" width="4.57421875" style="6" customWidth="1"/>
    <col min="2" max="2" width="21.421875" style="0" customWidth="1"/>
    <col min="3" max="3" width="10.00390625" style="0" customWidth="1"/>
    <col min="5" max="16" width="10.8515625" style="0" customWidth="1"/>
    <col min="19" max="19" width="7.421875" style="0" customWidth="1"/>
    <col min="20" max="20" width="11.8515625" style="11" customWidth="1"/>
    <col min="21" max="21" width="9.140625" style="5" customWidth="1"/>
  </cols>
  <sheetData>
    <row r="1" ht="30">
      <c r="H1" s="19" t="s">
        <v>40</v>
      </c>
    </row>
    <row r="3" spans="1:21" s="17" customFormat="1" ht="12.75">
      <c r="A3" s="18"/>
      <c r="T3" s="27"/>
      <c r="U3" s="26"/>
    </row>
    <row r="4" spans="1:21" s="21" customFormat="1" ht="12.75">
      <c r="A4" s="18"/>
      <c r="C4" s="21" t="s">
        <v>36</v>
      </c>
      <c r="D4" s="22" t="s">
        <v>20</v>
      </c>
      <c r="E4" s="23" t="s">
        <v>1</v>
      </c>
      <c r="F4" s="23" t="s">
        <v>2</v>
      </c>
      <c r="G4" s="23" t="s">
        <v>3</v>
      </c>
      <c r="H4" s="23" t="s">
        <v>4</v>
      </c>
      <c r="I4" s="24" t="s">
        <v>5</v>
      </c>
      <c r="J4" s="24" t="s">
        <v>6</v>
      </c>
      <c r="K4" s="24" t="s">
        <v>7</v>
      </c>
      <c r="L4" s="24" t="s">
        <v>8</v>
      </c>
      <c r="M4" s="25" t="s">
        <v>9</v>
      </c>
      <c r="N4" s="25" t="s">
        <v>10</v>
      </c>
      <c r="O4" s="25" t="s">
        <v>11</v>
      </c>
      <c r="P4" s="25" t="s">
        <v>12</v>
      </c>
      <c r="Q4" s="21">
        <v>2015</v>
      </c>
      <c r="R4" s="21">
        <v>2016</v>
      </c>
      <c r="S4" s="18" t="s">
        <v>49</v>
      </c>
      <c r="T4" s="27"/>
      <c r="U4" s="26"/>
    </row>
    <row r="5" spans="1:21" s="2" customFormat="1" ht="12.75">
      <c r="A5" s="34"/>
      <c r="B5" s="3"/>
      <c r="C5" s="3"/>
      <c r="T5" s="10"/>
      <c r="U5" s="12"/>
    </row>
    <row r="6" spans="1:21" s="29" customFormat="1" ht="13.5" thickBot="1">
      <c r="A6" s="35" t="s">
        <v>15</v>
      </c>
      <c r="B6" s="28" t="s">
        <v>16</v>
      </c>
      <c r="C6" s="28"/>
      <c r="D6" s="33">
        <v>155</v>
      </c>
      <c r="E6" s="33">
        <v>150</v>
      </c>
      <c r="F6" s="33">
        <f>+E6</f>
        <v>150</v>
      </c>
      <c r="G6" s="33">
        <f aca="true" t="shared" si="0" ref="G6:P6">+F6</f>
        <v>150</v>
      </c>
      <c r="H6" s="33">
        <f t="shared" si="0"/>
        <v>150</v>
      </c>
      <c r="I6" s="33">
        <f t="shared" si="0"/>
        <v>150</v>
      </c>
      <c r="J6" s="33">
        <f t="shared" si="0"/>
        <v>150</v>
      </c>
      <c r="K6" s="33">
        <f t="shared" si="0"/>
        <v>150</v>
      </c>
      <c r="L6" s="33">
        <f t="shared" si="0"/>
        <v>150</v>
      </c>
      <c r="M6" s="33">
        <f t="shared" si="0"/>
        <v>150</v>
      </c>
      <c r="N6" s="33">
        <f t="shared" si="0"/>
        <v>150</v>
      </c>
      <c r="O6" s="33">
        <f t="shared" si="0"/>
        <v>150</v>
      </c>
      <c r="P6" s="33">
        <f t="shared" si="0"/>
        <v>150</v>
      </c>
      <c r="Q6" s="33">
        <f>+P6*4</f>
        <v>600</v>
      </c>
      <c r="R6" s="33">
        <f>+Q6</f>
        <v>600</v>
      </c>
      <c r="T6" s="31"/>
      <c r="U6" s="32"/>
    </row>
    <row r="7" spans="1:21" s="29" customFormat="1" ht="13.5" thickTop="1">
      <c r="A7" s="35"/>
      <c r="B7" s="28"/>
      <c r="C7" s="28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T7" s="31"/>
      <c r="U7" s="32"/>
    </row>
    <row r="8" spans="1:21" s="2" customFormat="1" ht="12.75">
      <c r="A8" s="34"/>
      <c r="B8" s="28" t="s">
        <v>51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T8" s="10"/>
      <c r="U8" s="12"/>
    </row>
    <row r="9" spans="1:21" s="2" customFormat="1" ht="12.75">
      <c r="A9" s="34"/>
      <c r="B9" s="28" t="s">
        <v>17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T9" s="10"/>
      <c r="U9" s="12"/>
    </row>
    <row r="10" spans="1:21" s="2" customFormat="1" ht="12.75">
      <c r="A10" s="34"/>
      <c r="B10" s="1" t="s">
        <v>0</v>
      </c>
      <c r="D10" s="13">
        <f aca="true" t="shared" si="1" ref="D10:I10">+$U33/4</f>
        <v>2.07</v>
      </c>
      <c r="E10" s="13">
        <f t="shared" si="1"/>
        <v>2.07</v>
      </c>
      <c r="F10" s="13">
        <f t="shared" si="1"/>
        <v>2.07</v>
      </c>
      <c r="G10" s="13">
        <f t="shared" si="1"/>
        <v>2.07</v>
      </c>
      <c r="H10" s="13">
        <f t="shared" si="1"/>
        <v>2.07</v>
      </c>
      <c r="I10" s="13">
        <f t="shared" si="1"/>
        <v>2.07</v>
      </c>
      <c r="J10" s="13"/>
      <c r="K10" s="13"/>
      <c r="L10" s="13"/>
      <c r="M10" s="13"/>
      <c r="N10" s="13"/>
      <c r="O10" s="13"/>
      <c r="P10" s="13"/>
      <c r="Q10" s="13"/>
      <c r="R10" s="13"/>
      <c r="T10" s="10"/>
      <c r="U10" s="12"/>
    </row>
    <row r="11" spans="1:21" s="2" customFormat="1" ht="12.75">
      <c r="A11" s="34"/>
      <c r="B11" s="1" t="s">
        <v>25</v>
      </c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T11" s="10"/>
      <c r="U11" s="12"/>
    </row>
    <row r="12" spans="1:21" s="2" customFormat="1" ht="12.75">
      <c r="A12" s="34"/>
      <c r="B12" s="1" t="s">
        <v>34</v>
      </c>
      <c r="D12" s="13">
        <f aca="true" t="shared" si="2" ref="D12:J12">+$U35/4</f>
        <v>2.875</v>
      </c>
      <c r="E12" s="13">
        <f t="shared" si="2"/>
        <v>2.875</v>
      </c>
      <c r="F12" s="13">
        <f t="shared" si="2"/>
        <v>2.875</v>
      </c>
      <c r="G12" s="13">
        <f t="shared" si="2"/>
        <v>2.875</v>
      </c>
      <c r="H12" s="13">
        <f t="shared" si="2"/>
        <v>2.875</v>
      </c>
      <c r="I12" s="13">
        <f t="shared" si="2"/>
        <v>2.875</v>
      </c>
      <c r="J12" s="13">
        <f t="shared" si="2"/>
        <v>2.875</v>
      </c>
      <c r="K12" s="13">
        <f aca="true" t="shared" si="3" ref="K12:P12">+$U35/4</f>
        <v>2.875</v>
      </c>
      <c r="L12" s="13">
        <f t="shared" si="3"/>
        <v>2.875</v>
      </c>
      <c r="M12" s="13">
        <f t="shared" si="3"/>
        <v>2.875</v>
      </c>
      <c r="N12" s="13">
        <f t="shared" si="3"/>
        <v>2.875</v>
      </c>
      <c r="O12" s="13">
        <f t="shared" si="3"/>
        <v>2.875</v>
      </c>
      <c r="P12" s="13">
        <f t="shared" si="3"/>
        <v>2.875</v>
      </c>
      <c r="Q12" s="13">
        <f>+P12*4</f>
        <v>11.5</v>
      </c>
      <c r="R12" s="13">
        <f>+Q12</f>
        <v>11.5</v>
      </c>
      <c r="T12" s="10"/>
      <c r="U12" s="12"/>
    </row>
    <row r="13" spans="1:21" s="2" customFormat="1" ht="12.75">
      <c r="A13" s="34"/>
      <c r="B13" s="1" t="s">
        <v>14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T13" s="10"/>
      <c r="U13" s="12"/>
    </row>
    <row r="14" spans="1:21" s="2" customFormat="1" ht="12.75">
      <c r="A14" s="34"/>
      <c r="B14" s="8" t="s">
        <v>27</v>
      </c>
      <c r="D14" s="13">
        <f aca="true" t="shared" si="4" ref="D14:J14">+$U37/4</f>
        <v>2.1125000000000003</v>
      </c>
      <c r="E14" s="13">
        <f t="shared" si="4"/>
        <v>2.1125000000000003</v>
      </c>
      <c r="F14" s="13">
        <f t="shared" si="4"/>
        <v>2.1125000000000003</v>
      </c>
      <c r="G14" s="13">
        <f t="shared" si="4"/>
        <v>2.1125000000000003</v>
      </c>
      <c r="H14" s="13">
        <f t="shared" si="4"/>
        <v>2.1125000000000003</v>
      </c>
      <c r="I14" s="13">
        <f t="shared" si="4"/>
        <v>2.1125000000000003</v>
      </c>
      <c r="J14" s="13">
        <f t="shared" si="4"/>
        <v>2.1125000000000003</v>
      </c>
      <c r="K14" s="13"/>
      <c r="L14" s="13"/>
      <c r="M14" s="13"/>
      <c r="N14" s="13"/>
      <c r="O14" s="13"/>
      <c r="P14" s="13"/>
      <c r="Q14" s="13"/>
      <c r="R14" s="13"/>
      <c r="T14" s="10"/>
      <c r="U14" s="12"/>
    </row>
    <row r="15" spans="1:21" s="2" customFormat="1" ht="12.75">
      <c r="A15" s="34"/>
      <c r="B15" s="1" t="s">
        <v>26</v>
      </c>
      <c r="D15" s="13">
        <f aca="true" t="shared" si="5" ref="D15:L15">+$U38/4</f>
        <v>2.140625</v>
      </c>
      <c r="E15" s="13">
        <f t="shared" si="5"/>
        <v>2.140625</v>
      </c>
      <c r="F15" s="13">
        <f t="shared" si="5"/>
        <v>2.140625</v>
      </c>
      <c r="G15" s="13">
        <f t="shared" si="5"/>
        <v>2.140625</v>
      </c>
      <c r="H15" s="13">
        <f t="shared" si="5"/>
        <v>2.140625</v>
      </c>
      <c r="I15" s="13">
        <f t="shared" si="5"/>
        <v>2.140625</v>
      </c>
      <c r="J15" s="13">
        <f t="shared" si="5"/>
        <v>2.140625</v>
      </c>
      <c r="K15" s="13">
        <f t="shared" si="5"/>
        <v>2.140625</v>
      </c>
      <c r="L15" s="13">
        <f t="shared" si="5"/>
        <v>2.140625</v>
      </c>
      <c r="M15" s="13"/>
      <c r="N15" s="13"/>
      <c r="O15" s="13"/>
      <c r="P15" s="13"/>
      <c r="Q15" s="13"/>
      <c r="R15" s="13"/>
      <c r="T15" s="10"/>
      <c r="U15" s="12"/>
    </row>
    <row r="16" spans="1:21" s="2" customFormat="1" ht="12.75">
      <c r="A16" s="34"/>
      <c r="B16" s="1" t="s">
        <v>28</v>
      </c>
      <c r="D16" s="13">
        <f aca="true" t="shared" si="6" ref="D16:M16">+$U39/4</f>
        <v>3.640125</v>
      </c>
      <c r="E16" s="13">
        <f t="shared" si="6"/>
        <v>3.640125</v>
      </c>
      <c r="F16" s="13">
        <f t="shared" si="6"/>
        <v>3.640125</v>
      </c>
      <c r="G16" s="13">
        <f t="shared" si="6"/>
        <v>3.640125</v>
      </c>
      <c r="H16" s="13">
        <f t="shared" si="6"/>
        <v>3.640125</v>
      </c>
      <c r="I16" s="13">
        <f t="shared" si="6"/>
        <v>3.640125</v>
      </c>
      <c r="J16" s="13">
        <f t="shared" si="6"/>
        <v>3.640125</v>
      </c>
      <c r="K16" s="13">
        <f t="shared" si="6"/>
        <v>3.640125</v>
      </c>
      <c r="L16" s="13">
        <f t="shared" si="6"/>
        <v>3.640125</v>
      </c>
      <c r="M16" s="13">
        <f t="shared" si="6"/>
        <v>3.640125</v>
      </c>
      <c r="N16" s="13"/>
      <c r="O16" s="13"/>
      <c r="P16" s="13"/>
      <c r="Q16" s="13"/>
      <c r="R16" s="13"/>
      <c r="T16" s="10"/>
      <c r="U16" s="12"/>
    </row>
    <row r="17" spans="1:21" s="2" customFormat="1" ht="12.75">
      <c r="A17" s="34"/>
      <c r="B17" s="1" t="s">
        <v>29</v>
      </c>
      <c r="D17" s="13">
        <f aca="true" t="shared" si="7" ref="D17:P17">+$U40/4</f>
        <v>2.5185</v>
      </c>
      <c r="E17" s="13">
        <f t="shared" si="7"/>
        <v>2.5185</v>
      </c>
      <c r="F17" s="13">
        <f t="shared" si="7"/>
        <v>2.5185</v>
      </c>
      <c r="G17" s="13">
        <f t="shared" si="7"/>
        <v>2.5185</v>
      </c>
      <c r="H17" s="13">
        <f t="shared" si="7"/>
        <v>2.5185</v>
      </c>
      <c r="I17" s="13">
        <f t="shared" si="7"/>
        <v>2.5185</v>
      </c>
      <c r="J17" s="13">
        <f t="shared" si="7"/>
        <v>2.5185</v>
      </c>
      <c r="K17" s="13">
        <f t="shared" si="7"/>
        <v>2.5185</v>
      </c>
      <c r="L17" s="13">
        <f t="shared" si="7"/>
        <v>2.5185</v>
      </c>
      <c r="M17" s="13">
        <f t="shared" si="7"/>
        <v>2.5185</v>
      </c>
      <c r="N17" s="13">
        <f t="shared" si="7"/>
        <v>2.5185</v>
      </c>
      <c r="O17" s="13">
        <f t="shared" si="7"/>
        <v>2.5185</v>
      </c>
      <c r="P17" s="13">
        <f t="shared" si="7"/>
        <v>2.5185</v>
      </c>
      <c r="Q17" s="13">
        <v>1.5</v>
      </c>
      <c r="R17" s="13"/>
      <c r="T17" s="10"/>
      <c r="U17" s="12"/>
    </row>
    <row r="18" spans="1:21" s="2" customFormat="1" ht="12.75">
      <c r="A18" s="34"/>
      <c r="B18" s="1" t="s">
        <v>30</v>
      </c>
      <c r="D18" s="13">
        <f aca="true" t="shared" si="8" ref="D18:P18">+$U41/4</f>
        <v>4.2</v>
      </c>
      <c r="E18" s="13">
        <f t="shared" si="8"/>
        <v>4.2</v>
      </c>
      <c r="F18" s="13">
        <f t="shared" si="8"/>
        <v>4.2</v>
      </c>
      <c r="G18" s="13">
        <f t="shared" si="8"/>
        <v>4.2</v>
      </c>
      <c r="H18" s="13">
        <f t="shared" si="8"/>
        <v>4.2</v>
      </c>
      <c r="I18" s="13">
        <f t="shared" si="8"/>
        <v>4.2</v>
      </c>
      <c r="J18" s="13">
        <f t="shared" si="8"/>
        <v>4.2</v>
      </c>
      <c r="K18" s="13">
        <f t="shared" si="8"/>
        <v>4.2</v>
      </c>
      <c r="L18" s="13">
        <f t="shared" si="8"/>
        <v>4.2</v>
      </c>
      <c r="M18" s="13">
        <f t="shared" si="8"/>
        <v>4.2</v>
      </c>
      <c r="N18" s="13">
        <f t="shared" si="8"/>
        <v>4.2</v>
      </c>
      <c r="O18" s="13">
        <f t="shared" si="8"/>
        <v>4.2</v>
      </c>
      <c r="P18" s="13">
        <f t="shared" si="8"/>
        <v>4.2</v>
      </c>
      <c r="Q18" s="13">
        <f>+P18*4</f>
        <v>16.8</v>
      </c>
      <c r="R18" s="13">
        <v>3</v>
      </c>
      <c r="T18" s="10"/>
      <c r="U18" s="12"/>
    </row>
    <row r="19" spans="1:21" s="2" customFormat="1" ht="12.75">
      <c r="A19" s="34"/>
      <c r="B19" s="1" t="s">
        <v>31</v>
      </c>
      <c r="D19" s="13">
        <f aca="true" t="shared" si="9" ref="D19:P19">+$U42/4</f>
        <v>1.769625</v>
      </c>
      <c r="E19" s="13">
        <f t="shared" si="9"/>
        <v>1.769625</v>
      </c>
      <c r="F19" s="13">
        <f t="shared" si="9"/>
        <v>1.769625</v>
      </c>
      <c r="G19" s="13">
        <f t="shared" si="9"/>
        <v>1.769625</v>
      </c>
      <c r="H19" s="13">
        <f t="shared" si="9"/>
        <v>1.769625</v>
      </c>
      <c r="I19" s="13">
        <f t="shared" si="9"/>
        <v>1.769625</v>
      </c>
      <c r="J19" s="13">
        <f t="shared" si="9"/>
        <v>1.769625</v>
      </c>
      <c r="K19" s="13">
        <f t="shared" si="9"/>
        <v>1.769625</v>
      </c>
      <c r="L19" s="13">
        <f t="shared" si="9"/>
        <v>1.769625</v>
      </c>
      <c r="M19" s="13">
        <f t="shared" si="9"/>
        <v>1.769625</v>
      </c>
      <c r="N19" s="13">
        <f t="shared" si="9"/>
        <v>1.769625</v>
      </c>
      <c r="O19" s="13">
        <f t="shared" si="9"/>
        <v>1.769625</v>
      </c>
      <c r="P19" s="13">
        <f t="shared" si="9"/>
        <v>1.769625</v>
      </c>
      <c r="Q19" s="13">
        <f>+P19*4</f>
        <v>7.0785</v>
      </c>
      <c r="R19" s="13">
        <f>+Q19</f>
        <v>7.0785</v>
      </c>
      <c r="T19" s="10"/>
      <c r="U19" s="12"/>
    </row>
    <row r="20" spans="1:21" s="2" customFormat="1" ht="12.75">
      <c r="A20" s="34"/>
      <c r="B20" s="1" t="s">
        <v>32</v>
      </c>
      <c r="D20" s="13">
        <f aca="true" t="shared" si="10" ref="D20:P20">+$U43/4</f>
        <v>5.8125</v>
      </c>
      <c r="E20" s="13">
        <f t="shared" si="10"/>
        <v>5.8125</v>
      </c>
      <c r="F20" s="13">
        <f t="shared" si="10"/>
        <v>5.8125</v>
      </c>
      <c r="G20" s="13">
        <f t="shared" si="10"/>
        <v>5.8125</v>
      </c>
      <c r="H20" s="13">
        <f t="shared" si="10"/>
        <v>5.8125</v>
      </c>
      <c r="I20" s="13">
        <f t="shared" si="10"/>
        <v>5.8125</v>
      </c>
      <c r="J20" s="13">
        <f t="shared" si="10"/>
        <v>5.8125</v>
      </c>
      <c r="K20" s="13">
        <f t="shared" si="10"/>
        <v>5.8125</v>
      </c>
      <c r="L20" s="13">
        <f t="shared" si="10"/>
        <v>5.8125</v>
      </c>
      <c r="M20" s="13">
        <f t="shared" si="10"/>
        <v>5.8125</v>
      </c>
      <c r="N20" s="13">
        <f t="shared" si="10"/>
        <v>5.8125</v>
      </c>
      <c r="O20" s="13">
        <f t="shared" si="10"/>
        <v>5.8125</v>
      </c>
      <c r="P20" s="13">
        <f t="shared" si="10"/>
        <v>5.8125</v>
      </c>
      <c r="Q20" s="13">
        <f>+P20*4</f>
        <v>23.25</v>
      </c>
      <c r="R20" s="13">
        <f>+Q20</f>
        <v>23.25</v>
      </c>
      <c r="T20" s="10"/>
      <c r="U20" s="12"/>
    </row>
    <row r="21" spans="1:21" s="2" customFormat="1" ht="12.75">
      <c r="A21" s="34"/>
      <c r="B21" s="1" t="s">
        <v>33</v>
      </c>
      <c r="D21" s="13">
        <f aca="true" t="shared" si="11" ref="D21:P21">+$U44/4</f>
        <v>0.265625</v>
      </c>
      <c r="E21" s="13">
        <f t="shared" si="11"/>
        <v>0.265625</v>
      </c>
      <c r="F21" s="13">
        <f t="shared" si="11"/>
        <v>0.265625</v>
      </c>
      <c r="G21" s="13">
        <f t="shared" si="11"/>
        <v>0.265625</v>
      </c>
      <c r="H21" s="13">
        <f t="shared" si="11"/>
        <v>0.265625</v>
      </c>
      <c r="I21" s="13">
        <f t="shared" si="11"/>
        <v>0.265625</v>
      </c>
      <c r="J21" s="13">
        <f t="shared" si="11"/>
        <v>0.265625</v>
      </c>
      <c r="K21" s="13">
        <f t="shared" si="11"/>
        <v>0.265625</v>
      </c>
      <c r="L21" s="13">
        <f t="shared" si="11"/>
        <v>0.265625</v>
      </c>
      <c r="M21" s="13">
        <f t="shared" si="11"/>
        <v>0.265625</v>
      </c>
      <c r="N21" s="13">
        <f t="shared" si="11"/>
        <v>0.265625</v>
      </c>
      <c r="O21" s="13">
        <f t="shared" si="11"/>
        <v>0.265625</v>
      </c>
      <c r="P21" s="13">
        <f t="shared" si="11"/>
        <v>0.265625</v>
      </c>
      <c r="Q21" s="13">
        <f>+P21*4</f>
        <v>1.0625</v>
      </c>
      <c r="R21" s="13">
        <f>+Q21</f>
        <v>1.0625</v>
      </c>
      <c r="T21" s="10"/>
      <c r="U21" s="12"/>
    </row>
    <row r="22" spans="1:21" s="2" customFormat="1" ht="12.75">
      <c r="A22" s="34"/>
      <c r="B22" s="28" t="s">
        <v>41</v>
      </c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T22" s="10"/>
      <c r="U22" s="12"/>
    </row>
    <row r="23" spans="1:21" s="2" customFormat="1" ht="12.75">
      <c r="A23" s="34"/>
      <c r="B23" s="2" t="s">
        <v>18</v>
      </c>
      <c r="D23" s="13">
        <v>20</v>
      </c>
      <c r="E23" s="13">
        <v>30</v>
      </c>
      <c r="F23" s="13">
        <f aca="true" t="shared" si="12" ref="F23:P23">+E23</f>
        <v>30</v>
      </c>
      <c r="G23" s="13">
        <f t="shared" si="12"/>
        <v>30</v>
      </c>
      <c r="H23" s="13">
        <f t="shared" si="12"/>
        <v>30</v>
      </c>
      <c r="I23" s="13">
        <f t="shared" si="12"/>
        <v>30</v>
      </c>
      <c r="J23" s="13">
        <f t="shared" si="12"/>
        <v>30</v>
      </c>
      <c r="K23" s="13">
        <f t="shared" si="12"/>
        <v>30</v>
      </c>
      <c r="L23" s="13">
        <f t="shared" si="12"/>
        <v>30</v>
      </c>
      <c r="M23" s="13">
        <f t="shared" si="12"/>
        <v>30</v>
      </c>
      <c r="N23" s="13">
        <f t="shared" si="12"/>
        <v>30</v>
      </c>
      <c r="O23" s="13">
        <f t="shared" si="12"/>
        <v>30</v>
      </c>
      <c r="P23" s="13">
        <f t="shared" si="12"/>
        <v>30</v>
      </c>
      <c r="Q23" s="13">
        <f>+P23*4</f>
        <v>120</v>
      </c>
      <c r="R23" s="13">
        <f>+Q23</f>
        <v>120</v>
      </c>
      <c r="T23" s="10"/>
      <c r="U23" s="12"/>
    </row>
    <row r="24" spans="1:21" s="2" customFormat="1" ht="12.75">
      <c r="A24" s="34"/>
      <c r="B24" s="2" t="s">
        <v>13</v>
      </c>
      <c r="D24" s="13"/>
      <c r="E24" s="13">
        <v>30</v>
      </c>
      <c r="F24" s="13">
        <f>+E24</f>
        <v>30</v>
      </c>
      <c r="G24" s="13">
        <f>+F24</f>
        <v>30</v>
      </c>
      <c r="H24" s="13">
        <f>+G24</f>
        <v>30</v>
      </c>
      <c r="I24" s="13"/>
      <c r="J24" s="13"/>
      <c r="K24" s="13"/>
      <c r="L24" s="13"/>
      <c r="M24" s="13"/>
      <c r="N24" s="13"/>
      <c r="O24" s="13"/>
      <c r="P24" s="13"/>
      <c r="Q24" s="13"/>
      <c r="R24" s="13"/>
      <c r="T24" s="10"/>
      <c r="U24" s="12"/>
    </row>
    <row r="25" spans="1:21" s="2" customFormat="1" ht="12.75">
      <c r="A25" s="34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T25" s="10"/>
      <c r="U25" s="12"/>
    </row>
    <row r="26" spans="1:21" s="2" customFormat="1" ht="12.75">
      <c r="A26" s="34"/>
      <c r="B26" s="28" t="s">
        <v>19</v>
      </c>
      <c r="D26" s="13">
        <v>10</v>
      </c>
      <c r="E26" s="13">
        <f>+D26</f>
        <v>10</v>
      </c>
      <c r="F26" s="13">
        <v>8</v>
      </c>
      <c r="G26" s="13">
        <f aca="true" t="shared" si="13" ref="G26:P26">+F26</f>
        <v>8</v>
      </c>
      <c r="H26" s="13">
        <f t="shared" si="13"/>
        <v>8</v>
      </c>
      <c r="I26" s="13">
        <f t="shared" si="13"/>
        <v>8</v>
      </c>
      <c r="J26" s="13">
        <f t="shared" si="13"/>
        <v>8</v>
      </c>
      <c r="K26" s="13">
        <f t="shared" si="13"/>
        <v>8</v>
      </c>
      <c r="L26" s="13">
        <f t="shared" si="13"/>
        <v>8</v>
      </c>
      <c r="M26" s="13">
        <f t="shared" si="13"/>
        <v>8</v>
      </c>
      <c r="N26" s="13">
        <f t="shared" si="13"/>
        <v>8</v>
      </c>
      <c r="O26" s="13">
        <f t="shared" si="13"/>
        <v>8</v>
      </c>
      <c r="P26" s="13">
        <f t="shared" si="13"/>
        <v>8</v>
      </c>
      <c r="Q26" s="13">
        <f>+P26*4</f>
        <v>32</v>
      </c>
      <c r="R26" s="13">
        <f>+Q26</f>
        <v>32</v>
      </c>
      <c r="T26" s="10"/>
      <c r="U26" s="12"/>
    </row>
    <row r="27" spans="1:21" s="2" customFormat="1" ht="12.75">
      <c r="A27" s="3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T27" s="10"/>
      <c r="U27" s="12"/>
    </row>
    <row r="28" spans="1:21" s="29" customFormat="1" ht="12.75">
      <c r="A28" s="35" t="s">
        <v>42</v>
      </c>
      <c r="B28" s="28" t="s">
        <v>21</v>
      </c>
      <c r="D28" s="30">
        <f>SUM(D9:D27)</f>
        <v>57.4045</v>
      </c>
      <c r="E28" s="30">
        <f aca="true" t="shared" si="14" ref="E28:R28">SUM(E9:E27)</f>
        <v>97.4045</v>
      </c>
      <c r="F28" s="30">
        <f t="shared" si="14"/>
        <v>95.4045</v>
      </c>
      <c r="G28" s="30">
        <f t="shared" si="14"/>
        <v>95.4045</v>
      </c>
      <c r="H28" s="30">
        <f t="shared" si="14"/>
        <v>95.4045</v>
      </c>
      <c r="I28" s="30">
        <f t="shared" si="14"/>
        <v>65.4045</v>
      </c>
      <c r="J28" s="30">
        <f t="shared" si="14"/>
        <v>63.334500000000006</v>
      </c>
      <c r="K28" s="30">
        <f t="shared" si="14"/>
        <v>61.222</v>
      </c>
      <c r="L28" s="30">
        <f t="shared" si="14"/>
        <v>61.222</v>
      </c>
      <c r="M28" s="30">
        <f t="shared" si="14"/>
        <v>59.081375</v>
      </c>
      <c r="N28" s="30">
        <f t="shared" si="14"/>
        <v>55.44125</v>
      </c>
      <c r="O28" s="30">
        <f t="shared" si="14"/>
        <v>55.44125</v>
      </c>
      <c r="P28" s="30">
        <f t="shared" si="14"/>
        <v>55.44125</v>
      </c>
      <c r="Q28" s="30">
        <f t="shared" si="14"/>
        <v>213.191</v>
      </c>
      <c r="R28" s="30">
        <f t="shared" si="14"/>
        <v>197.891</v>
      </c>
      <c r="T28" s="31"/>
      <c r="U28" s="32"/>
    </row>
    <row r="29" spans="1:21" s="2" customFormat="1" ht="12.75">
      <c r="A29" s="34"/>
      <c r="B29" s="3" t="s">
        <v>35</v>
      </c>
      <c r="C29" s="3"/>
      <c r="D29" s="14">
        <v>52</v>
      </c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T29" s="10"/>
      <c r="U29" s="12"/>
    </row>
    <row r="30" spans="1:21" s="29" customFormat="1" ht="13.5" thickBot="1">
      <c r="A30" s="35" t="s">
        <v>43</v>
      </c>
      <c r="B30" s="28" t="s">
        <v>46</v>
      </c>
      <c r="C30" s="35" t="s">
        <v>47</v>
      </c>
      <c r="D30" s="36">
        <f>+D6-D28+D29</f>
        <v>149.59550000000002</v>
      </c>
      <c r="E30" s="36">
        <f aca="true" t="shared" si="15" ref="E30:R30">+E6-E28</f>
        <v>52.5955</v>
      </c>
      <c r="F30" s="36">
        <f t="shared" si="15"/>
        <v>54.5955</v>
      </c>
      <c r="G30" s="36">
        <f t="shared" si="15"/>
        <v>54.5955</v>
      </c>
      <c r="H30" s="36">
        <f t="shared" si="15"/>
        <v>54.5955</v>
      </c>
      <c r="I30" s="36">
        <f t="shared" si="15"/>
        <v>84.5955</v>
      </c>
      <c r="J30" s="36">
        <f t="shared" si="15"/>
        <v>86.6655</v>
      </c>
      <c r="K30" s="36">
        <f t="shared" si="15"/>
        <v>88.77799999999999</v>
      </c>
      <c r="L30" s="36">
        <f t="shared" si="15"/>
        <v>88.77799999999999</v>
      </c>
      <c r="M30" s="36">
        <f t="shared" si="15"/>
        <v>90.91862499999999</v>
      </c>
      <c r="N30" s="36">
        <f t="shared" si="15"/>
        <v>94.55875</v>
      </c>
      <c r="O30" s="36">
        <f t="shared" si="15"/>
        <v>94.55875</v>
      </c>
      <c r="P30" s="36">
        <f t="shared" si="15"/>
        <v>94.55875</v>
      </c>
      <c r="Q30" s="36">
        <f t="shared" si="15"/>
        <v>386.80899999999997</v>
      </c>
      <c r="R30" s="36">
        <f t="shared" si="15"/>
        <v>402.10900000000004</v>
      </c>
      <c r="T30" s="31"/>
      <c r="U30" s="32"/>
    </row>
    <row r="31" spans="1:21" s="2" customFormat="1" ht="13.5" thickTop="1">
      <c r="A31" s="34"/>
      <c r="B31" s="3"/>
      <c r="C31" s="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T31" s="10"/>
      <c r="U31" s="32" t="s">
        <v>54</v>
      </c>
    </row>
    <row r="32" spans="2:21" ht="12.75">
      <c r="B32" s="17" t="s">
        <v>22</v>
      </c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T32" s="44" t="s">
        <v>22</v>
      </c>
      <c r="U32" s="43" t="s">
        <v>53</v>
      </c>
    </row>
    <row r="33" spans="2:21" ht="12.75">
      <c r="B33" s="1" t="s">
        <v>0</v>
      </c>
      <c r="C33" s="1">
        <v>205</v>
      </c>
      <c r="D33" s="15"/>
      <c r="E33" s="15">
        <v>25</v>
      </c>
      <c r="F33" s="15">
        <v>25</v>
      </c>
      <c r="G33" s="15">
        <v>25</v>
      </c>
      <c r="H33" s="15">
        <v>25</v>
      </c>
      <c r="I33" s="15">
        <v>105</v>
      </c>
      <c r="J33" s="15"/>
      <c r="K33" s="15"/>
      <c r="L33" s="15"/>
      <c r="M33" s="15"/>
      <c r="N33" s="15"/>
      <c r="O33" s="15"/>
      <c r="P33" s="15"/>
      <c r="Q33" s="15"/>
      <c r="R33" s="15"/>
      <c r="T33" s="11">
        <f>F33+G33+H33+I33</f>
        <v>180</v>
      </c>
      <c r="U33" s="5">
        <f>+T33*0.046</f>
        <v>8.28</v>
      </c>
    </row>
    <row r="34" spans="2:20" ht="12.75">
      <c r="B34" s="1" t="s">
        <v>25</v>
      </c>
      <c r="C34" s="1">
        <v>0</v>
      </c>
      <c r="D34" s="15">
        <v>0</v>
      </c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T34" s="11">
        <f aca="true" t="shared" si="16" ref="T34:T44">SUM(D34:S34)</f>
        <v>0</v>
      </c>
    </row>
    <row r="35" spans="2:21" ht="12.75">
      <c r="B35" s="1" t="s">
        <v>34</v>
      </c>
      <c r="C35" s="9">
        <f>+T35</f>
        <v>184</v>
      </c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>
        <v>184</v>
      </c>
      <c r="T35" s="11">
        <f t="shared" si="16"/>
        <v>184</v>
      </c>
      <c r="U35" s="5">
        <f>+T35*0.0625</f>
        <v>11.5</v>
      </c>
    </row>
    <row r="36" spans="2:18" ht="12.75">
      <c r="B36" s="1" t="s">
        <v>14</v>
      </c>
      <c r="C36" s="1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21" ht="12.75">
      <c r="A37" s="6" t="s">
        <v>38</v>
      </c>
      <c r="B37" s="8" t="s">
        <v>27</v>
      </c>
      <c r="C37" s="9">
        <v>130</v>
      </c>
      <c r="D37" s="15"/>
      <c r="E37" s="15"/>
      <c r="F37" s="15"/>
      <c r="G37" s="15"/>
      <c r="H37" s="15"/>
      <c r="I37" s="15"/>
      <c r="J37" s="15"/>
      <c r="K37" s="15">
        <v>130</v>
      </c>
      <c r="L37" s="15"/>
      <c r="M37" s="15"/>
      <c r="N37" s="15"/>
      <c r="O37" s="15"/>
      <c r="P37" s="15"/>
      <c r="Q37" s="15"/>
      <c r="R37" s="15"/>
      <c r="T37" s="11">
        <f t="shared" si="16"/>
        <v>130</v>
      </c>
      <c r="U37" s="5">
        <f>+T37*0.065</f>
        <v>8.450000000000001</v>
      </c>
    </row>
    <row r="38" spans="2:21" ht="12.75">
      <c r="B38" s="1" t="s">
        <v>26</v>
      </c>
      <c r="C38" s="9">
        <v>125</v>
      </c>
      <c r="D38" s="15"/>
      <c r="E38" s="15"/>
      <c r="F38" s="15"/>
      <c r="G38" s="15"/>
      <c r="H38" s="15"/>
      <c r="I38" s="15"/>
      <c r="J38" s="15"/>
      <c r="K38" s="15"/>
      <c r="L38" s="15">
        <v>125</v>
      </c>
      <c r="M38" s="15"/>
      <c r="N38" s="15"/>
      <c r="O38" s="15"/>
      <c r="P38" s="15"/>
      <c r="Q38" s="15"/>
      <c r="R38" s="15"/>
      <c r="T38" s="11">
        <f t="shared" si="16"/>
        <v>125</v>
      </c>
      <c r="U38" s="5">
        <f>+T38*0.0685</f>
        <v>8.5625</v>
      </c>
    </row>
    <row r="39" spans="2:21" ht="12.75">
      <c r="B39" s="1" t="s">
        <v>28</v>
      </c>
      <c r="C39" s="9">
        <v>255</v>
      </c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>
        <v>255</v>
      </c>
      <c r="O39" s="15"/>
      <c r="P39" s="15"/>
      <c r="Q39" s="15"/>
      <c r="R39" s="15"/>
      <c r="T39" s="11">
        <f t="shared" si="16"/>
        <v>255</v>
      </c>
      <c r="U39" s="5">
        <f>+T39*0.0571</f>
        <v>14.5605</v>
      </c>
    </row>
    <row r="40" spans="2:21" ht="12.75">
      <c r="B40" s="1" t="s">
        <v>29</v>
      </c>
      <c r="C40" s="9">
        <v>138</v>
      </c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>
        <v>138</v>
      </c>
      <c r="R40" s="15"/>
      <c r="T40" s="11">
        <f t="shared" si="16"/>
        <v>138</v>
      </c>
      <c r="U40" s="5">
        <f>+T40*0.073</f>
        <v>10.074</v>
      </c>
    </row>
    <row r="41" spans="2:21" ht="12.75">
      <c r="B41" s="1" t="s">
        <v>30</v>
      </c>
      <c r="C41" s="9">
        <v>320</v>
      </c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>
        <v>320</v>
      </c>
      <c r="T41" s="11">
        <f t="shared" si="16"/>
        <v>320</v>
      </c>
      <c r="U41" s="5">
        <f>+T41*0.0525</f>
        <v>16.8</v>
      </c>
    </row>
    <row r="42" spans="2:21" ht="12.75">
      <c r="B42" s="1" t="s">
        <v>31</v>
      </c>
      <c r="C42" s="9">
        <v>121</v>
      </c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>
        <v>121</v>
      </c>
      <c r="T42" s="11">
        <f t="shared" si="16"/>
        <v>121</v>
      </c>
      <c r="U42" s="5">
        <f>+T42*0.0585</f>
        <v>7.0785</v>
      </c>
    </row>
    <row r="43" spans="2:21" ht="12.75">
      <c r="B43" s="1" t="s">
        <v>32</v>
      </c>
      <c r="C43" s="9">
        <v>300</v>
      </c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>
        <v>300</v>
      </c>
      <c r="T43" s="11">
        <f t="shared" si="16"/>
        <v>300</v>
      </c>
      <c r="U43" s="5">
        <f>+T43*0.0775</f>
        <v>23.25</v>
      </c>
    </row>
    <row r="44" spans="2:21" ht="12.75">
      <c r="B44" s="1" t="s">
        <v>33</v>
      </c>
      <c r="C44" s="9">
        <v>17</v>
      </c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>
        <v>17</v>
      </c>
      <c r="T44" s="11">
        <f t="shared" si="16"/>
        <v>17</v>
      </c>
      <c r="U44" s="5">
        <f>+T44*0.0625</f>
        <v>1.0625</v>
      </c>
    </row>
    <row r="45" spans="4:18" ht="12.75"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21" s="17" customFormat="1" ht="13.5" thickBot="1">
      <c r="A46" s="18" t="s">
        <v>44</v>
      </c>
      <c r="B46" s="17" t="s">
        <v>50</v>
      </c>
      <c r="C46" s="18" t="s">
        <v>45</v>
      </c>
      <c r="D46" s="37">
        <f aca="true" t="shared" si="17" ref="D46:R46">-SUM(D31:D45)+D30</f>
        <v>149.59550000000002</v>
      </c>
      <c r="E46" s="37">
        <f t="shared" si="17"/>
        <v>27.5955</v>
      </c>
      <c r="F46" s="37">
        <f t="shared" si="17"/>
        <v>29.5955</v>
      </c>
      <c r="G46" s="37">
        <f t="shared" si="17"/>
        <v>29.5955</v>
      </c>
      <c r="H46" s="37">
        <f t="shared" si="17"/>
        <v>29.5955</v>
      </c>
      <c r="I46" s="37">
        <f t="shared" si="17"/>
        <v>-20.4045</v>
      </c>
      <c r="J46" s="37">
        <f t="shared" si="17"/>
        <v>86.6655</v>
      </c>
      <c r="K46" s="37">
        <f t="shared" si="17"/>
        <v>-41.22200000000001</v>
      </c>
      <c r="L46" s="37">
        <f t="shared" si="17"/>
        <v>-36.22200000000001</v>
      </c>
      <c r="M46" s="37">
        <f t="shared" si="17"/>
        <v>90.91862499999999</v>
      </c>
      <c r="N46" s="37">
        <f t="shared" si="17"/>
        <v>-160.44125</v>
      </c>
      <c r="O46" s="37">
        <f t="shared" si="17"/>
        <v>94.55875</v>
      </c>
      <c r="P46" s="37">
        <f t="shared" si="17"/>
        <v>94.55875</v>
      </c>
      <c r="Q46" s="37">
        <f t="shared" si="17"/>
        <v>248.80899999999997</v>
      </c>
      <c r="R46" s="37">
        <f t="shared" si="17"/>
        <v>82.10900000000004</v>
      </c>
      <c r="S46" s="38"/>
      <c r="T46" s="39">
        <f>SUM(T31:T45)</f>
        <v>1770</v>
      </c>
      <c r="U46" s="37">
        <f>SUM(U31:U45)</f>
        <v>109.61800000000001</v>
      </c>
    </row>
    <row r="47" spans="4:19" ht="14.25" thickBot="1" thickTop="1"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4"/>
    </row>
    <row r="48" spans="1:21" s="17" customFormat="1" ht="13.5" thickBot="1">
      <c r="A48" s="18" t="s">
        <v>48</v>
      </c>
      <c r="B48" s="17" t="s">
        <v>23</v>
      </c>
      <c r="D48" s="40">
        <f>+D46</f>
        <v>149.59550000000002</v>
      </c>
      <c r="E48" s="40">
        <f>+D48+E46</f>
        <v>177.19100000000003</v>
      </c>
      <c r="F48" s="40">
        <f aca="true" t="shared" si="18" ref="F48:R48">+E48+F46</f>
        <v>206.78650000000005</v>
      </c>
      <c r="G48" s="40">
        <f t="shared" si="18"/>
        <v>236.38200000000006</v>
      </c>
      <c r="H48" s="40">
        <f t="shared" si="18"/>
        <v>265.9775000000001</v>
      </c>
      <c r="I48" s="40">
        <f t="shared" si="18"/>
        <v>245.5730000000001</v>
      </c>
      <c r="J48" s="40">
        <f t="shared" si="18"/>
        <v>332.2385000000001</v>
      </c>
      <c r="K48" s="40">
        <f t="shared" si="18"/>
        <v>291.01650000000006</v>
      </c>
      <c r="L48" s="16">
        <f t="shared" si="18"/>
        <v>254.79450000000006</v>
      </c>
      <c r="M48" s="40">
        <f t="shared" si="18"/>
        <v>345.71312500000005</v>
      </c>
      <c r="N48" s="16">
        <f t="shared" si="18"/>
        <v>185.27187500000005</v>
      </c>
      <c r="O48" s="40">
        <f t="shared" si="18"/>
        <v>279.83062500000005</v>
      </c>
      <c r="P48" s="40">
        <f t="shared" si="18"/>
        <v>374.3893750000001</v>
      </c>
      <c r="Q48" s="40">
        <f t="shared" si="18"/>
        <v>623.198375</v>
      </c>
      <c r="R48" s="40">
        <f t="shared" si="18"/>
        <v>705.3073750000001</v>
      </c>
      <c r="S48" s="38"/>
      <c r="T48" s="41"/>
      <c r="U48" s="20"/>
    </row>
    <row r="49" ht="12.75">
      <c r="B49" t="s">
        <v>52</v>
      </c>
    </row>
    <row r="55" ht="12.75">
      <c r="D55" t="s">
        <v>37</v>
      </c>
    </row>
    <row r="56" spans="4:5" ht="12.75">
      <c r="D56" s="6" t="s">
        <v>24</v>
      </c>
      <c r="E56" t="s">
        <v>19</v>
      </c>
    </row>
    <row r="57" spans="4:5" ht="12.75">
      <c r="D57" s="6">
        <v>1</v>
      </c>
      <c r="E57" s="5">
        <f>10*25*0.0425</f>
        <v>10.625</v>
      </c>
    </row>
    <row r="58" spans="4:5" ht="12.75">
      <c r="D58" s="6">
        <v>2</v>
      </c>
      <c r="E58" s="5">
        <f>6*1.25</f>
        <v>7.5</v>
      </c>
    </row>
    <row r="59" spans="4:5" ht="12.75">
      <c r="D59" s="6">
        <v>3</v>
      </c>
      <c r="E59" s="5">
        <f>203*0.0675</f>
        <v>13.7025</v>
      </c>
    </row>
    <row r="60" spans="4:5" ht="12.75">
      <c r="D60" s="6">
        <v>5</v>
      </c>
      <c r="E60" s="5">
        <f>123*0.069</f>
        <v>8.487</v>
      </c>
    </row>
    <row r="61" spans="4:5" ht="12.75">
      <c r="D61" s="6">
        <v>7</v>
      </c>
      <c r="E61" s="5">
        <f>3*0.05</f>
        <v>0.15000000000000002</v>
      </c>
    </row>
    <row r="63" spans="4:5" ht="13.5" thickBot="1">
      <c r="D63" t="s">
        <v>39</v>
      </c>
      <c r="E63" s="7">
        <f>SUM(E57:E62)</f>
        <v>40.4645</v>
      </c>
    </row>
    <row r="64" ht="13.5" thickTop="1"/>
  </sheetData>
  <sheetProtection/>
  <printOptions/>
  <pageMargins left="0.75" right="0.75" top="1" bottom="1" header="0.5" footer="0.5"/>
  <pageSetup orientation="portrait" paperSize="9" r:id="rId1"/>
  <ignoredErrors>
    <ignoredError sqref="T34:T4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</dc:creator>
  <cp:keywords/>
  <dc:description/>
  <cp:lastModifiedBy>John</cp:lastModifiedBy>
  <dcterms:created xsi:type="dcterms:W3CDTF">2011-12-06T13:40:04Z</dcterms:created>
  <dcterms:modified xsi:type="dcterms:W3CDTF">2012-01-15T13:11:40Z</dcterms:modified>
  <cp:category/>
  <cp:version/>
  <cp:contentType/>
  <cp:contentStatus/>
</cp:coreProperties>
</file>